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2660" activeTab="0"/>
  </bookViews>
  <sheets>
    <sheet name="Analysis" sheetId="1" r:id="rId1"/>
    <sheet name="Market" sheetId="2" r:id="rId2"/>
    <sheet name="Models" sheetId="3" r:id="rId3"/>
  </sheets>
  <definedNames/>
  <calcPr fullCalcOnLoad="1"/>
</workbook>
</file>

<file path=xl/sharedStrings.xml><?xml version="1.0" encoding="utf-8"?>
<sst xmlns="http://schemas.openxmlformats.org/spreadsheetml/2006/main" count="158" uniqueCount="92">
  <si>
    <t>FY04A</t>
  </si>
  <si>
    <t>FY06F</t>
  </si>
  <si>
    <t>FY07F</t>
  </si>
  <si>
    <t>Revenue</t>
  </si>
  <si>
    <t>EBITDA</t>
  </si>
  <si>
    <t>EBIT</t>
  </si>
  <si>
    <t>Minority interests</t>
  </si>
  <si>
    <t>FY03A</t>
  </si>
  <si>
    <t>FY05F</t>
  </si>
  <si>
    <t>Net interest</t>
  </si>
  <si>
    <t>KPN</t>
  </si>
  <si>
    <t>O2</t>
  </si>
  <si>
    <t>Curr</t>
  </si>
  <si>
    <t>Euro</t>
  </si>
  <si>
    <t>Shares</t>
  </si>
  <si>
    <t>Net debt</t>
  </si>
  <si>
    <t>Price</t>
  </si>
  <si>
    <t>MC</t>
  </si>
  <si>
    <t>DAMC</t>
  </si>
  <si>
    <t>DAMC/Revenues</t>
  </si>
  <si>
    <t>DAMC/EBITDA</t>
  </si>
  <si>
    <t>Premie</t>
  </si>
  <si>
    <t>Financiering</t>
  </si>
  <si>
    <t>Debt</t>
  </si>
  <si>
    <t>Equity</t>
  </si>
  <si>
    <t>Waarschijnlijk door later uit te geven aandelen</t>
  </si>
  <si>
    <t>Discount</t>
  </si>
  <si>
    <t>Opmerking</t>
  </si>
  <si>
    <t>Gross debt</t>
  </si>
  <si>
    <t>Gross / EBITDA</t>
  </si>
  <si>
    <t>Debt ratios 2005</t>
  </si>
  <si>
    <t>Rente</t>
  </si>
  <si>
    <t>Synergies</t>
  </si>
  <si>
    <t>Uitgaande van een normale emissie (het is waarschijnlijker dat dit middels een claim emissie zou gaan)</t>
  </si>
  <si>
    <t>Depreciation</t>
  </si>
  <si>
    <t>Amortisation</t>
  </si>
  <si>
    <t>Associates</t>
  </si>
  <si>
    <t>Other</t>
  </si>
  <si>
    <t>Pre tax profit</t>
  </si>
  <si>
    <t>Tax</t>
  </si>
  <si>
    <t>Net profit</t>
  </si>
  <si>
    <t>Net profit ex goodwill</t>
  </si>
  <si>
    <t>P&amp;L</t>
  </si>
  <si>
    <t>Pre-tax</t>
  </si>
  <si>
    <t>Reorganisatie kosten</t>
  </si>
  <si>
    <t>Totale prijs</t>
  </si>
  <si>
    <t>Acquisition interest</t>
  </si>
  <si>
    <t>EBITDA post synergies</t>
  </si>
  <si>
    <t>EBITDA pre synergies</t>
  </si>
  <si>
    <t>%</t>
  </si>
  <si>
    <t>op huidige koers</t>
  </si>
  <si>
    <t>Dit moet ook worden gefinancieerd</t>
  </si>
  <si>
    <t>Synergieen</t>
  </si>
  <si>
    <t>Waarschijnlijk maximaal 3x EBITDA 2005 van de combinatie (leningen O2 moeten ook worden geherfinancieerd). Laatste lening was tegen 4%</t>
  </si>
  <si>
    <t>Verbetering</t>
  </si>
  <si>
    <t>Verschil huidige koers</t>
  </si>
  <si>
    <t>Opmerkingen</t>
  </si>
  <si>
    <t>Revenues</t>
  </si>
  <si>
    <t>Telefonica</t>
  </si>
  <si>
    <t>REVENUES</t>
  </si>
  <si>
    <t>EPS</t>
  </si>
  <si>
    <t>Telefonica KPN- Post deal doelkoers</t>
  </si>
  <si>
    <t>Telefonica KPN post synergies</t>
  </si>
  <si>
    <t>Telefonica KPN</t>
  </si>
  <si>
    <t>Stel Telefonica koopt KPN</t>
  </si>
  <si>
    <t>Vodafone</t>
  </si>
  <si>
    <t>BT Group</t>
  </si>
  <si>
    <t>Deutsche Telekom</t>
  </si>
  <si>
    <t>France Telecom</t>
  </si>
  <si>
    <t>OTE</t>
  </si>
  <si>
    <t>Portugal Telecom</t>
  </si>
  <si>
    <t>Swisscom</t>
  </si>
  <si>
    <t>TDC</t>
  </si>
  <si>
    <t>Telecom Italia</t>
  </si>
  <si>
    <t>Telekom Austria</t>
  </si>
  <si>
    <t>Telenor</t>
  </si>
  <si>
    <t>TeliaSonera</t>
  </si>
  <si>
    <t>Tele2</t>
  </si>
  <si>
    <t>marge</t>
  </si>
  <si>
    <t>Prijs per aandeel</t>
  </si>
  <si>
    <t>Marktwaarde</t>
  </si>
  <si>
    <t>Bepaling DAMC is op basis van huidige multiple voor 2006 van Telefonica</t>
  </si>
  <si>
    <t>50% in 2006</t>
  </si>
  <si>
    <t>100% in 2007</t>
  </si>
  <si>
    <t>P/E</t>
  </si>
  <si>
    <t>Impact op winst per aandeel Telefonica in 2007</t>
  </si>
  <si>
    <t>% van de overnameprijs bijgeleend</t>
  </si>
  <si>
    <t xml:space="preserve">Disclaimer  </t>
  </si>
  <si>
    <t>All information in this spreadsheet is for informational purposes only. This spreadsheet is not intended to be a source of advice. In so far as specific investment information is disclosed through this spreadsheet,</t>
  </si>
  <si>
    <t xml:space="preserve">you should not rely on the information provided herein for any purpose. Belt Corporate Finance B.V. does not ensure and can not be held liable for any inaccurate or incomplete information or any error on </t>
  </si>
  <si>
    <t>this spreadsheet. Prior to making any investment decision, it is strongly recommended that you consult directly a qualified investment advisor and seek (further) advice. .</t>
  </si>
  <si>
    <t>© 2005 Belt Corporate Finance. All rights reserved. The reproduction or transmission of the contents of this spreadsheet is prohibited without the prior written approval of Belt Corporate Finance.</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</si>
</sst>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0000"/>
    <numFmt numFmtId="166" formatCode="0.0000"/>
    <numFmt numFmtId="167" formatCode="0.000"/>
    <numFmt numFmtId="168" formatCode="#,##0.0"/>
    <numFmt numFmtId="169" formatCode="0.000000"/>
    <numFmt numFmtId="170" formatCode="0.0%"/>
  </numFmts>
  <fonts count="11">
    <font>
      <sz val="10"/>
      <name val="Arial"/>
      <family val="0"/>
    </font>
    <font>
      <sz val="8"/>
      <name val="Arial"/>
      <family val="0"/>
    </font>
    <font>
      <sz val="10"/>
      <name val="Garamond"/>
      <family val="1"/>
    </font>
    <font>
      <b/>
      <sz val="10"/>
      <name val="Garamond"/>
      <family val="1"/>
    </font>
    <font>
      <sz val="10"/>
      <color indexed="9"/>
      <name val="Garamond"/>
      <family val="1"/>
    </font>
    <font>
      <b/>
      <sz val="10"/>
      <color indexed="9"/>
      <name val="Garamond"/>
      <family val="1"/>
    </font>
    <font>
      <sz val="10"/>
      <color indexed="8"/>
      <name val="Garamond"/>
      <family val="1"/>
    </font>
    <font>
      <b/>
      <sz val="10"/>
      <name val="Arial"/>
      <family val="2"/>
    </font>
    <font>
      <u val="single"/>
      <sz val="10"/>
      <color indexed="12"/>
      <name val="Arial"/>
      <family val="0"/>
    </font>
    <font>
      <u val="single"/>
      <sz val="10"/>
      <color indexed="36"/>
      <name val="Arial"/>
      <family val="0"/>
    </font>
    <font>
      <b/>
      <sz val="12"/>
      <name val="Arial"/>
      <family val="0"/>
    </font>
  </fonts>
  <fills count="6">
    <fill>
      <patternFill/>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s>
  <borders count="4">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2" fontId="2" fillId="0" borderId="0" xfId="0" applyNumberFormat="1" applyFont="1" applyAlignment="1">
      <alignment/>
    </xf>
    <xf numFmtId="0" fontId="3" fillId="0" borderId="0" xfId="0" applyFont="1" applyAlignment="1">
      <alignment/>
    </xf>
    <xf numFmtId="1" fontId="2" fillId="0" borderId="0" xfId="0" applyNumberFormat="1" applyFont="1" applyAlignment="1">
      <alignment/>
    </xf>
    <xf numFmtId="164" fontId="2" fillId="0" borderId="0" xfId="0" applyNumberFormat="1" applyFont="1" applyAlignment="1">
      <alignment/>
    </xf>
    <xf numFmtId="4" fontId="2" fillId="0" borderId="0" xfId="0" applyNumberFormat="1" applyFont="1" applyAlignment="1">
      <alignment/>
    </xf>
    <xf numFmtId="0" fontId="3" fillId="0" borderId="0" xfId="0" applyFont="1" applyAlignment="1">
      <alignment horizontal="right"/>
    </xf>
    <xf numFmtId="0" fontId="2" fillId="2" borderId="0" xfId="0" applyFont="1" applyFill="1" applyAlignment="1">
      <alignment/>
    </xf>
    <xf numFmtId="9" fontId="2" fillId="2" borderId="0" xfId="0" applyNumberFormat="1" applyFont="1" applyFill="1" applyAlignment="1">
      <alignment/>
    </xf>
    <xf numFmtId="10" fontId="2" fillId="0" borderId="0" xfId="0" applyNumberFormat="1" applyFont="1" applyAlignment="1">
      <alignment/>
    </xf>
    <xf numFmtId="10" fontId="2" fillId="2" borderId="0" xfId="0" applyNumberFormat="1" applyFont="1" applyFill="1" applyAlignment="1">
      <alignment/>
    </xf>
    <xf numFmtId="9" fontId="2" fillId="0" borderId="0" xfId="19" applyFont="1" applyAlignment="1">
      <alignment/>
    </xf>
    <xf numFmtId="2" fontId="3" fillId="0" borderId="0" xfId="0" applyNumberFormat="1" applyFont="1" applyAlignment="1">
      <alignment/>
    </xf>
    <xf numFmtId="9" fontId="3" fillId="3" borderId="0" xfId="19" applyFont="1" applyFill="1" applyAlignment="1">
      <alignment/>
    </xf>
    <xf numFmtId="2" fontId="3" fillId="3" borderId="0" xfId="0" applyNumberFormat="1" applyFont="1" applyFill="1" applyAlignment="1">
      <alignment/>
    </xf>
    <xf numFmtId="0" fontId="2" fillId="4" borderId="0" xfId="0" applyFont="1" applyFill="1" applyAlignment="1">
      <alignment/>
    </xf>
    <xf numFmtId="0" fontId="2" fillId="4" borderId="0" xfId="0" applyFont="1" applyFill="1" applyAlignment="1">
      <alignment horizontal="right"/>
    </xf>
    <xf numFmtId="0" fontId="4" fillId="5" borderId="0" xfId="0" applyFont="1" applyFill="1" applyAlignment="1">
      <alignment/>
    </xf>
    <xf numFmtId="0" fontId="5" fillId="5" borderId="0" xfId="0" applyFont="1" applyFill="1" applyAlignment="1">
      <alignment/>
    </xf>
    <xf numFmtId="2" fontId="5" fillId="5" borderId="0" xfId="0" applyNumberFormat="1" applyFont="1" applyFill="1" applyAlignment="1">
      <alignment/>
    </xf>
    <xf numFmtId="0" fontId="5" fillId="5" borderId="0" xfId="0" applyFont="1" applyFill="1" applyAlignment="1">
      <alignment horizontal="left" wrapText="1"/>
    </xf>
    <xf numFmtId="0" fontId="5" fillId="5" borderId="0" xfId="0" applyFont="1" applyFill="1" applyAlignment="1">
      <alignment horizontal="right" wrapText="1"/>
    </xf>
    <xf numFmtId="0" fontId="6" fillId="4" borderId="0" xfId="0" applyFont="1" applyFill="1" applyAlignment="1">
      <alignment horizontal="left" wrapText="1"/>
    </xf>
    <xf numFmtId="0" fontId="6" fillId="4" borderId="0" xfId="0" applyFont="1" applyFill="1" applyAlignment="1">
      <alignment horizontal="right" wrapText="1"/>
    </xf>
    <xf numFmtId="1" fontId="6" fillId="4" borderId="0" xfId="0" applyNumberFormat="1" applyFont="1" applyFill="1" applyAlignment="1">
      <alignment horizontal="right" wrapText="1"/>
    </xf>
    <xf numFmtId="1" fontId="2" fillId="4" borderId="0" xfId="0" applyNumberFormat="1" applyFont="1" applyFill="1" applyAlignment="1">
      <alignment/>
    </xf>
    <xf numFmtId="9" fontId="6" fillId="4" borderId="0" xfId="19" applyFont="1" applyFill="1" applyAlignment="1">
      <alignment horizontal="right" wrapText="1"/>
    </xf>
    <xf numFmtId="3" fontId="6" fillId="4" borderId="0" xfId="0" applyNumberFormat="1" applyFont="1" applyFill="1" applyAlignment="1">
      <alignment horizontal="right" wrapText="1"/>
    </xf>
    <xf numFmtId="3" fontId="2" fillId="4" borderId="0" xfId="0" applyNumberFormat="1" applyFont="1" applyFill="1" applyAlignment="1">
      <alignment/>
    </xf>
    <xf numFmtId="0" fontId="7" fillId="0" borderId="0" xfId="0" applyFont="1" applyAlignment="1">
      <alignment/>
    </xf>
    <xf numFmtId="1" fontId="0" fillId="0" borderId="0" xfId="0" applyNumberFormat="1" applyAlignment="1">
      <alignment/>
    </xf>
    <xf numFmtId="9" fontId="0" fillId="0" borderId="0" xfId="19" applyAlignment="1">
      <alignment/>
    </xf>
    <xf numFmtId="3" fontId="0" fillId="0" borderId="0" xfId="0" applyNumberFormat="1" applyAlignment="1">
      <alignment/>
    </xf>
    <xf numFmtId="0" fontId="5" fillId="5" borderId="0" xfId="0" applyFont="1" applyFill="1" applyAlignment="1">
      <alignment wrapText="1"/>
    </xf>
    <xf numFmtId="3" fontId="2" fillId="0" borderId="0" xfId="0" applyNumberFormat="1" applyFont="1" applyAlignment="1">
      <alignment/>
    </xf>
    <xf numFmtId="0" fontId="3" fillId="0" borderId="0" xfId="0" applyFont="1" applyAlignment="1">
      <alignment horizontal="center"/>
    </xf>
    <xf numFmtId="3" fontId="3" fillId="0" borderId="0" xfId="0" applyNumberFormat="1" applyFont="1" applyAlignment="1">
      <alignment/>
    </xf>
    <xf numFmtId="3" fontId="2" fillId="2" borderId="0" xfId="0" applyNumberFormat="1" applyFont="1" applyFill="1" applyAlignment="1">
      <alignment/>
    </xf>
    <xf numFmtId="1" fontId="0" fillId="0" borderId="0" xfId="0" applyNumberFormat="1" applyAlignment="1">
      <alignment horizontal="right"/>
    </xf>
    <xf numFmtId="9" fontId="6" fillId="2" borderId="0" xfId="19" applyFont="1" applyFill="1" applyAlignment="1">
      <alignment horizontal="right" wrapText="1"/>
    </xf>
    <xf numFmtId="9" fontId="2" fillId="0" borderId="0" xfId="0" applyNumberFormat="1" applyFont="1" applyAlignment="1">
      <alignment/>
    </xf>
    <xf numFmtId="0" fontId="2" fillId="0" borderId="0" xfId="0" applyFont="1" applyAlignment="1">
      <alignment vertical="center" textRotation="90"/>
    </xf>
    <xf numFmtId="0" fontId="2" fillId="0" borderId="0" xfId="0" applyFont="1" applyAlignment="1">
      <alignment horizontal="center"/>
    </xf>
    <xf numFmtId="0" fontId="2" fillId="0" borderId="1" xfId="0" applyFont="1" applyBorder="1" applyAlignment="1">
      <alignment/>
    </xf>
    <xf numFmtId="9" fontId="3" fillId="0" borderId="1" xfId="0" applyNumberFormat="1" applyFont="1" applyBorder="1" applyAlignment="1">
      <alignment/>
    </xf>
    <xf numFmtId="0" fontId="2" fillId="0" borderId="2" xfId="0" applyFont="1" applyBorder="1" applyAlignment="1">
      <alignment/>
    </xf>
    <xf numFmtId="9" fontId="3" fillId="0" borderId="3" xfId="0" applyNumberFormat="1" applyFont="1" applyBorder="1" applyAlignment="1">
      <alignment/>
    </xf>
    <xf numFmtId="0" fontId="0" fillId="0" borderId="0" xfId="0" applyNumberFormat="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no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gradFill rotWithShape="1">
                <a:gsLst>
                  <a:gs pos="0">
                    <a:srgbClr val="FFFF00"/>
                  </a:gs>
                  <a:gs pos="100000">
                    <a:srgbClr val="0000FF"/>
                  </a:gs>
                </a:gsLst>
                <a:lin ang="5400000" scaled="1"/>
              </a:gradFill>
              <a:ln w="3175">
                <a:noFill/>
              </a:ln>
            </c:spPr>
          </c:dPt>
          <c:dPt>
            <c:idx val="2"/>
            <c:invertIfNegative val="0"/>
            <c:spPr>
              <a:solidFill>
                <a:srgbClr val="969696"/>
              </a:solidFill>
              <a:ln w="3175">
                <a:noFill/>
              </a:ln>
            </c:spPr>
          </c:dPt>
          <c:dPt>
            <c:idx val="3"/>
            <c:invertIfNegative val="0"/>
            <c:spPr>
              <a:solidFill>
                <a:srgbClr val="FFFF00"/>
              </a:solidFill>
              <a:ln w="3175">
                <a:noFill/>
              </a:ln>
            </c:spPr>
          </c:dPt>
          <c:dPt>
            <c:idx val="4"/>
            <c:invertIfNegative val="0"/>
            <c:spPr>
              <a:solidFill>
                <a:srgbClr val="969696"/>
              </a:solidFill>
              <a:ln w="3175">
                <a:noFill/>
              </a:ln>
            </c:spPr>
          </c:dPt>
          <c:dPt>
            <c:idx val="5"/>
            <c:invertIfNegative val="0"/>
            <c:spPr>
              <a:solidFill>
                <a:srgbClr val="969696"/>
              </a:solidFill>
              <a:ln w="3175">
                <a:noFill/>
              </a:ln>
            </c:spPr>
          </c:dPt>
          <c:dPt>
            <c:idx val="6"/>
            <c:invertIfNegative val="0"/>
            <c:spPr>
              <a:solidFill>
                <a:srgbClr val="969696"/>
              </a:solidFill>
              <a:ln w="3175">
                <a:noFill/>
              </a:ln>
            </c:spPr>
          </c:dPt>
          <c:dPt>
            <c:idx val="7"/>
            <c:invertIfNegative val="0"/>
            <c:spPr>
              <a:solidFill>
                <a:srgbClr val="0000FF"/>
              </a:solidFill>
              <a:ln w="3175">
                <a:noFill/>
              </a:ln>
            </c:spPr>
          </c:dPt>
          <c:dPt>
            <c:idx val="8"/>
            <c:invertIfNegative val="0"/>
            <c:spPr>
              <a:solidFill>
                <a:srgbClr val="969696"/>
              </a:solidFill>
              <a:ln w="3175">
                <a:noFill/>
              </a:ln>
            </c:spPr>
          </c:dPt>
          <c:dPt>
            <c:idx val="9"/>
            <c:invertIfNegative val="0"/>
            <c:spPr>
              <a:solidFill>
                <a:srgbClr val="969696"/>
              </a:solidFill>
              <a:ln w="3175">
                <a:noFill/>
              </a:ln>
            </c:spPr>
          </c:dPt>
          <c:dPt>
            <c:idx val="10"/>
            <c:invertIfNegative val="0"/>
            <c:spPr>
              <a:solidFill>
                <a:srgbClr val="969696"/>
              </a:solidFill>
              <a:ln w="3175">
                <a:noFill/>
              </a:ln>
            </c:spPr>
          </c:dPt>
          <c:dPt>
            <c:idx val="11"/>
            <c:invertIfNegative val="0"/>
            <c:spPr>
              <a:solidFill>
                <a:srgbClr val="969696"/>
              </a:solidFill>
              <a:ln w="3175">
                <a:noFill/>
              </a:ln>
            </c:spPr>
          </c:dPt>
          <c:dPt>
            <c:idx val="12"/>
            <c:invertIfNegative val="0"/>
            <c:spPr>
              <a:solidFill>
                <a:srgbClr val="969696"/>
              </a:solidFill>
              <a:ln w="3175">
                <a:noFill/>
              </a:ln>
            </c:spPr>
          </c:dPt>
          <c:dPt>
            <c:idx val="13"/>
            <c:invertIfNegative val="0"/>
            <c:spPr>
              <a:solidFill>
                <a:srgbClr val="969696"/>
              </a:solidFill>
              <a:ln w="3175">
                <a:noFill/>
              </a:ln>
            </c:spPr>
          </c:dPt>
          <c:dPt>
            <c:idx val="14"/>
            <c:invertIfNegative val="0"/>
            <c:spPr>
              <a:solidFill>
                <a:srgbClr val="969696"/>
              </a:solidFill>
              <a:ln w="3175">
                <a:noFill/>
              </a:ln>
            </c:spPr>
          </c:dPt>
          <c:dPt>
            <c:idx val="15"/>
            <c:invertIfNegative val="0"/>
            <c:spPr>
              <a:solidFill>
                <a:srgbClr val="969696"/>
              </a:solidFill>
              <a:ln w="3175">
                <a:noFill/>
              </a:ln>
            </c:spPr>
          </c:dPt>
          <c:dPt>
            <c:idx val="16"/>
            <c:invertIfNegative val="0"/>
            <c:spPr>
              <a:solidFill>
                <a:srgbClr val="969696"/>
              </a:solidFill>
              <a:ln w="3175">
                <a:noFill/>
              </a:ln>
            </c:spPr>
          </c:dPt>
          <c:cat>
            <c:strRef>
              <c:f>Market!$A$3:$A$19</c:f>
              <c:strCache/>
            </c:strRef>
          </c:cat>
          <c:val>
            <c:numRef>
              <c:f>Market!$B$3:$B$19</c:f>
              <c:numCache/>
            </c:numRef>
          </c:val>
        </c:ser>
        <c:axId val="27952864"/>
        <c:axId val="50249185"/>
      </c:barChart>
      <c:catAx>
        <c:axId val="2795286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0249185"/>
        <c:crosses val="autoZero"/>
        <c:auto val="1"/>
        <c:lblOffset val="100"/>
        <c:noMultiLvlLbl val="0"/>
      </c:catAx>
      <c:valAx>
        <c:axId val="50249185"/>
        <c:scaling>
          <c:orientation val="minMax"/>
        </c:scaling>
        <c:axPos val="l"/>
        <c:title>
          <c:tx>
            <c:rich>
              <a:bodyPr vert="horz" rot="-5400000" anchor="ctr"/>
              <a:lstStyle/>
              <a:p>
                <a:pPr algn="ctr">
                  <a:defRPr/>
                </a:pPr>
                <a:r>
                  <a:rPr lang="en-US" cap="none" sz="1000" b="1" i="0" u="none" baseline="0">
                    <a:latin typeface="Arial"/>
                    <a:ea typeface="Arial"/>
                    <a:cs typeface="Arial"/>
                  </a:rPr>
                  <a:t>Omzet in Euro mln</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2795286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Marktwaarde vergeleken</a:t>
            </a:r>
          </a:p>
        </c:rich>
      </c:tx>
      <c:layout/>
      <c:spPr>
        <a:noFill/>
        <a:ln>
          <a:noFill/>
        </a:ln>
      </c:spPr>
    </c:title>
    <c:plotArea>
      <c:layout/>
      <c:pieChart>
        <c:varyColors val="1"/>
        <c:ser>
          <c:idx val="0"/>
          <c:order val="0"/>
          <c:spPr>
            <a:solidFill>
              <a:srgbClr val="FFFF0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3175">
                <a:noFill/>
              </a:ln>
            </c:spPr>
          </c:dPt>
          <c:dLbls>
            <c:dLbl>
              <c:idx val="0"/>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1"/>
            <c:showPercent val="0"/>
          </c:dLbls>
          <c:cat>
            <c:strRef>
              <c:f>Market!$A$32:$A$33</c:f>
              <c:strCache/>
            </c:strRef>
          </c:cat>
          <c:val>
            <c:numRef>
              <c:f>Market!$B$32:$B$33</c:f>
              <c:numCache>
                <c:ptCount val="2"/>
                <c:pt idx="0">
                  <c:v>16658.18</c:v>
                </c:pt>
                <c:pt idx="1">
                  <c:v>66710.76</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1</xdr:row>
      <xdr:rowOff>152400</xdr:rowOff>
    </xdr:from>
    <xdr:to>
      <xdr:col>14</xdr:col>
      <xdr:colOff>381000</xdr:colOff>
      <xdr:row>25</xdr:row>
      <xdr:rowOff>76200</xdr:rowOff>
    </xdr:to>
    <xdr:graphicFrame>
      <xdr:nvGraphicFramePr>
        <xdr:cNvPr id="1" name="Chart 1"/>
        <xdr:cNvGraphicFramePr/>
      </xdr:nvGraphicFramePr>
      <xdr:xfrm>
        <a:off x="3676650" y="314325"/>
        <a:ext cx="5895975" cy="3810000"/>
      </xdr:xfrm>
      <a:graphic>
        <a:graphicData uri="http://schemas.openxmlformats.org/drawingml/2006/chart">
          <c:chart xmlns:c="http://schemas.openxmlformats.org/drawingml/2006/chart" r:id="rId1"/>
        </a:graphicData>
      </a:graphic>
    </xdr:graphicFrame>
    <xdr:clientData/>
  </xdr:twoCellAnchor>
  <xdr:twoCellAnchor>
    <xdr:from>
      <xdr:col>5</xdr:col>
      <xdr:colOff>152400</xdr:colOff>
      <xdr:row>25</xdr:row>
      <xdr:rowOff>66675</xdr:rowOff>
    </xdr:from>
    <xdr:to>
      <xdr:col>14</xdr:col>
      <xdr:colOff>561975</xdr:colOff>
      <xdr:row>48</xdr:row>
      <xdr:rowOff>152400</xdr:rowOff>
    </xdr:to>
    <xdr:graphicFrame>
      <xdr:nvGraphicFramePr>
        <xdr:cNvPr id="2" name="Chart 2"/>
        <xdr:cNvGraphicFramePr/>
      </xdr:nvGraphicFramePr>
      <xdr:xfrm>
        <a:off x="3857625" y="4114800"/>
        <a:ext cx="5895975"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workbookViewId="0" topLeftCell="A15">
      <selection activeCell="A60" sqref="A60"/>
    </sheetView>
  </sheetViews>
  <sheetFormatPr defaultColWidth="9.140625" defaultRowHeight="12.75"/>
  <cols>
    <col min="1" max="1" width="23.00390625" style="1" customWidth="1"/>
    <col min="2" max="2" width="9.140625" style="1" customWidth="1"/>
    <col min="3" max="3" width="10.57421875" style="1" customWidth="1"/>
    <col min="4" max="4" width="10.28125" style="1" customWidth="1"/>
    <col min="5" max="5" width="10.57421875" style="1" customWidth="1"/>
    <col min="6" max="6" width="10.421875" style="1" customWidth="1"/>
    <col min="7" max="7" width="9.8515625" style="1" customWidth="1"/>
    <col min="8" max="16384" width="9.140625" style="1" customWidth="1"/>
  </cols>
  <sheetData>
    <row r="1" s="3" customFormat="1" ht="12.75">
      <c r="B1" s="13"/>
    </row>
    <row r="2" spans="3:9" s="3" customFormat="1" ht="12.75">
      <c r="C2" s="36" t="s">
        <v>59</v>
      </c>
      <c r="D2" s="36"/>
      <c r="E2" s="36"/>
      <c r="F2" s="36"/>
      <c r="I2" s="3" t="s">
        <v>19</v>
      </c>
    </row>
    <row r="3" spans="2:12" s="3" customFormat="1" ht="12.75">
      <c r="B3" s="3" t="s">
        <v>12</v>
      </c>
      <c r="C3" s="3">
        <v>2004</v>
      </c>
      <c r="D3" s="3">
        <f>C3+1</f>
        <v>2005</v>
      </c>
      <c r="E3" s="3">
        <f>D3+1</f>
        <v>2006</v>
      </c>
      <c r="F3" s="3">
        <f>E3+1</f>
        <v>2007</v>
      </c>
      <c r="I3" s="3">
        <v>2004</v>
      </c>
      <c r="J3" s="3">
        <f>I3+1</f>
        <v>2005</v>
      </c>
      <c r="K3" s="3">
        <f>J3+1</f>
        <v>2006</v>
      </c>
      <c r="L3" s="3">
        <f>K3+1</f>
        <v>2007</v>
      </c>
    </row>
    <row r="4" spans="1:13" ht="12.75">
      <c r="A4" s="1" t="s">
        <v>10</v>
      </c>
      <c r="B4" s="1" t="s">
        <v>13</v>
      </c>
      <c r="C4" s="35">
        <f>Models!C26</f>
        <v>11819</v>
      </c>
      <c r="D4" s="35">
        <f>Models!D26</f>
        <v>11695</v>
      </c>
      <c r="E4" s="35">
        <f>Models!E26</f>
        <v>11690</v>
      </c>
      <c r="F4" s="35">
        <f>Models!F26</f>
        <v>11572</v>
      </c>
      <c r="G4" s="4"/>
      <c r="I4" s="5">
        <f>$H25/C4</f>
        <v>2.1015466621541585</v>
      </c>
      <c r="J4" s="5">
        <f>$H25/D4</f>
        <v>2.123828986746473</v>
      </c>
      <c r="K4" s="5">
        <f>$H25/E4</f>
        <v>2.124737382378101</v>
      </c>
      <c r="L4" s="5">
        <f>$H25/F4</f>
        <v>2.146403387487038</v>
      </c>
      <c r="M4" s="5"/>
    </row>
    <row r="5" spans="1:12" ht="12.75">
      <c r="A5" s="1" t="s">
        <v>58</v>
      </c>
      <c r="B5" s="1" t="s">
        <v>13</v>
      </c>
      <c r="C5" s="35">
        <f>Models!C3</f>
        <v>30321</v>
      </c>
      <c r="D5" s="35">
        <f>Models!D3</f>
        <v>34951</v>
      </c>
      <c r="E5" s="35">
        <f>Models!E3</f>
        <v>37495</v>
      </c>
      <c r="F5" s="35">
        <f>Models!F3</f>
        <v>38006</v>
      </c>
      <c r="G5" s="4"/>
      <c r="I5" s="5">
        <f>$H26/C5</f>
        <v>3.1232729791233798</v>
      </c>
      <c r="J5" s="5">
        <f>$H26/D5</f>
        <v>2.7095293410775083</v>
      </c>
      <c r="K5" s="5">
        <f>$H26/E5</f>
        <v>2.525690358714495</v>
      </c>
      <c r="L5" s="5">
        <f>$H26/F5</f>
        <v>2.491731831816029</v>
      </c>
    </row>
    <row r="6" spans="1:7" ht="12.75">
      <c r="A6" s="1" t="s">
        <v>63</v>
      </c>
      <c r="B6" s="1" t="s">
        <v>13</v>
      </c>
      <c r="C6" s="35">
        <f>C4+C5</f>
        <v>42140</v>
      </c>
      <c r="D6" s="35">
        <f>D4+D5</f>
        <v>46646</v>
      </c>
      <c r="E6" s="35">
        <f>E4+E5</f>
        <v>49185</v>
      </c>
      <c r="F6" s="35">
        <f>F4+F5</f>
        <v>49578</v>
      </c>
      <c r="G6" s="4"/>
    </row>
    <row r="8" spans="3:9" ht="12.75">
      <c r="C8" s="36" t="s">
        <v>4</v>
      </c>
      <c r="D8" s="36"/>
      <c r="E8" s="36"/>
      <c r="F8" s="36"/>
      <c r="G8" s="3"/>
      <c r="I8" s="3" t="s">
        <v>20</v>
      </c>
    </row>
    <row r="9" spans="3:13" ht="12.75">
      <c r="C9" s="3">
        <v>2004</v>
      </c>
      <c r="D9" s="3">
        <f>C9+1</f>
        <v>2005</v>
      </c>
      <c r="E9" s="3">
        <f>D9+1</f>
        <v>2006</v>
      </c>
      <c r="F9" s="3">
        <f>E9+1</f>
        <v>2007</v>
      </c>
      <c r="G9" s="3"/>
      <c r="I9" s="3">
        <v>2004</v>
      </c>
      <c r="J9" s="3">
        <f>I9+1</f>
        <v>2005</v>
      </c>
      <c r="K9" s="3">
        <f>J9+1</f>
        <v>2006</v>
      </c>
      <c r="L9" s="3">
        <f>K9+1</f>
        <v>2007</v>
      </c>
      <c r="M9" s="3"/>
    </row>
    <row r="10" spans="1:13" ht="12.75">
      <c r="A10" s="1" t="s">
        <v>10</v>
      </c>
      <c r="B10" s="1" t="s">
        <v>13</v>
      </c>
      <c r="C10" s="35">
        <f>Models!C28</f>
        <v>4835</v>
      </c>
      <c r="D10" s="35">
        <f>Models!D28</f>
        <v>4478</v>
      </c>
      <c r="E10" s="35">
        <f>Models!E28</f>
        <v>4473</v>
      </c>
      <c r="F10" s="35">
        <f>Models!F28</f>
        <v>4374</v>
      </c>
      <c r="G10" s="4"/>
      <c r="I10" s="5">
        <f>$H25/C10</f>
        <v>5.137162357807653</v>
      </c>
      <c r="J10" s="5">
        <f>$H25/D10</f>
        <v>5.546712818222421</v>
      </c>
      <c r="K10" s="5">
        <f>$H25/E10</f>
        <v>5.552913033758104</v>
      </c>
      <c r="L10" s="5">
        <f>$H25/F10</f>
        <v>5.67859625057156</v>
      </c>
      <c r="M10" s="5"/>
    </row>
    <row r="11" spans="1:12" ht="12.75">
      <c r="A11" s="1" t="s">
        <v>58</v>
      </c>
      <c r="B11" s="1" t="s">
        <v>13</v>
      </c>
      <c r="C11" s="35">
        <f>Models!C5</f>
        <v>13215</v>
      </c>
      <c r="D11" s="35">
        <f>Models!D5</f>
        <v>14404</v>
      </c>
      <c r="E11" s="35">
        <f>Models!E5</f>
        <v>15097</v>
      </c>
      <c r="F11" s="35">
        <f>Models!F5</f>
        <v>15413</v>
      </c>
      <c r="G11" s="4"/>
      <c r="I11" s="5">
        <f>$H26/C11</f>
        <v>7.166156640181612</v>
      </c>
      <c r="J11" s="5">
        <f>$H26/D11</f>
        <v>6.5746153846153845</v>
      </c>
      <c r="K11" s="5">
        <f>$H26/E11</f>
        <v>6.272819765516328</v>
      </c>
      <c r="L11" s="5">
        <f>$H26/F11</f>
        <v>6.1442133264127685</v>
      </c>
    </row>
    <row r="12" spans="1:7" ht="12.75">
      <c r="A12" s="1" t="s">
        <v>62</v>
      </c>
      <c r="B12" s="1" t="s">
        <v>13</v>
      </c>
      <c r="C12" s="35"/>
      <c r="D12" s="35"/>
      <c r="E12" s="35">
        <f>Models!E55</f>
        <v>19820</v>
      </c>
      <c r="F12" s="35">
        <f>Models!F55</f>
        <v>20287</v>
      </c>
      <c r="G12" s="4"/>
    </row>
    <row r="15" spans="3:9" ht="12.75">
      <c r="C15" s="36" t="s">
        <v>60</v>
      </c>
      <c r="D15" s="36"/>
      <c r="E15" s="36"/>
      <c r="F15" s="36"/>
      <c r="G15" s="3"/>
      <c r="I15" s="3" t="s">
        <v>84</v>
      </c>
    </row>
    <row r="16" spans="3:13" ht="12.75">
      <c r="C16" s="3">
        <v>2004</v>
      </c>
      <c r="D16" s="3">
        <f>C16+1</f>
        <v>2005</v>
      </c>
      <c r="E16" s="3">
        <f>D16+1</f>
        <v>2006</v>
      </c>
      <c r="F16" s="3">
        <f>E16+1</f>
        <v>2007</v>
      </c>
      <c r="G16" s="3"/>
      <c r="I16" s="3">
        <v>2004</v>
      </c>
      <c r="J16" s="3">
        <f>I16+1</f>
        <v>2005</v>
      </c>
      <c r="K16" s="3">
        <f>J16+1</f>
        <v>2006</v>
      </c>
      <c r="L16" s="3">
        <f>K16+1</f>
        <v>2007</v>
      </c>
      <c r="M16" s="3"/>
    </row>
    <row r="17" spans="1:13" ht="12.75">
      <c r="A17" s="1" t="s">
        <v>10</v>
      </c>
      <c r="B17" s="1" t="s">
        <v>13</v>
      </c>
      <c r="C17" s="2">
        <v>0.39</v>
      </c>
      <c r="D17" s="2">
        <v>0.82</v>
      </c>
      <c r="E17" s="2">
        <v>0.67</v>
      </c>
      <c r="F17" s="2">
        <v>0.74</v>
      </c>
      <c r="G17" s="2"/>
      <c r="I17" s="5">
        <f>$C25/C17</f>
        <v>19.128205128205128</v>
      </c>
      <c r="J17" s="5">
        <f>$C25/D17</f>
        <v>9.097560975609756</v>
      </c>
      <c r="K17" s="5">
        <f>$C25/E17</f>
        <v>11.134328358208954</v>
      </c>
      <c r="L17" s="5">
        <f>$C25/F17</f>
        <v>10.08108108108108</v>
      </c>
      <c r="M17" s="5"/>
    </row>
    <row r="18" spans="1:13" ht="12.75">
      <c r="A18" s="1" t="s">
        <v>58</v>
      </c>
      <c r="B18" s="1" t="s">
        <v>13</v>
      </c>
      <c r="C18" s="2">
        <v>0.9</v>
      </c>
      <c r="D18" s="2">
        <v>0.8</v>
      </c>
      <c r="E18" s="2">
        <v>1.02</v>
      </c>
      <c r="F18" s="2">
        <v>1.15</v>
      </c>
      <c r="G18" s="2"/>
      <c r="I18" s="5">
        <f>$C26/C18</f>
        <v>15.133333333333333</v>
      </c>
      <c r="J18" s="5">
        <f>$C26/D18</f>
        <v>17.025</v>
      </c>
      <c r="K18" s="5">
        <f>$C26/E18</f>
        <v>13.352941176470587</v>
      </c>
      <c r="L18" s="5">
        <f>$C26/F18</f>
        <v>11.843478260869565</v>
      </c>
      <c r="M18" s="5"/>
    </row>
    <row r="19" spans="1:13" ht="12.75">
      <c r="A19" s="1" t="s">
        <v>63</v>
      </c>
      <c r="B19" s="1" t="s">
        <v>13</v>
      </c>
      <c r="E19" s="6">
        <f>Models!E72/$D$27</f>
        <v>1.030956973801757</v>
      </c>
      <c r="F19" s="6">
        <f>Models!F72/$D$27</f>
        <v>1.17600333576038</v>
      </c>
      <c r="I19" s="5"/>
      <c r="J19" s="5"/>
      <c r="K19" s="5"/>
      <c r="L19" s="5"/>
      <c r="M19" s="5"/>
    </row>
    <row r="20" spans="1:6" s="3" customFormat="1" ht="12.75">
      <c r="A20" s="3" t="s">
        <v>54</v>
      </c>
      <c r="E20" s="14">
        <f>E19/E18-1</f>
        <v>0.010742131178193004</v>
      </c>
      <c r="F20" s="14">
        <f>F19/F18-1</f>
        <v>0.02261159631337395</v>
      </c>
    </row>
    <row r="21" spans="9:13" ht="12.75">
      <c r="I21" s="5"/>
      <c r="J21" s="5"/>
      <c r="K21" s="5"/>
      <c r="L21" s="5"/>
      <c r="M21" s="5"/>
    </row>
    <row r="23" ht="12.75">
      <c r="I23" s="3" t="s">
        <v>30</v>
      </c>
    </row>
    <row r="24" spans="3:9" ht="12.75">
      <c r="C24" s="3" t="s">
        <v>16</v>
      </c>
      <c r="D24" s="3" t="s">
        <v>14</v>
      </c>
      <c r="E24" s="7" t="s">
        <v>28</v>
      </c>
      <c r="F24" s="7" t="s">
        <v>15</v>
      </c>
      <c r="G24" s="7" t="s">
        <v>17</v>
      </c>
      <c r="H24" s="7" t="s">
        <v>18</v>
      </c>
      <c r="I24" s="3" t="s">
        <v>29</v>
      </c>
    </row>
    <row r="25" spans="1:9" ht="12.75">
      <c r="A25" s="1" t="s">
        <v>10</v>
      </c>
      <c r="B25" s="1" t="s">
        <v>13</v>
      </c>
      <c r="C25" s="8">
        <v>7.46</v>
      </c>
      <c r="D25" s="35">
        <v>2233</v>
      </c>
      <c r="E25" s="35">
        <v>10830</v>
      </c>
      <c r="F25" s="35">
        <v>8180</v>
      </c>
      <c r="G25" s="35">
        <f>D25*C25</f>
        <v>16658.18</v>
      </c>
      <c r="H25" s="35">
        <f>G25+F25</f>
        <v>24838.18</v>
      </c>
      <c r="I25" s="5">
        <f>E25/D10</f>
        <v>2.4184903974988834</v>
      </c>
    </row>
    <row r="26" spans="1:9" ht="12.75">
      <c r="A26" s="1" t="s">
        <v>58</v>
      </c>
      <c r="B26" s="1" t="s">
        <v>13</v>
      </c>
      <c r="C26" s="8">
        <v>13.62</v>
      </c>
      <c r="D26" s="35">
        <v>4898</v>
      </c>
      <c r="E26" s="35">
        <f>19677.5+11689.5</f>
        <v>31367</v>
      </c>
      <c r="F26" s="35">
        <v>27990</v>
      </c>
      <c r="G26" s="35">
        <f>D26*C26</f>
        <v>66710.76</v>
      </c>
      <c r="H26" s="35">
        <f>G26+F26</f>
        <v>94700.76</v>
      </c>
      <c r="I26" s="5">
        <f>E26/D11</f>
        <v>2.1776589836156623</v>
      </c>
    </row>
    <row r="27" spans="1:11" ht="12.75">
      <c r="A27" s="1" t="s">
        <v>61</v>
      </c>
      <c r="C27" s="15">
        <f>G27/D27</f>
        <v>11.58514034146689</v>
      </c>
      <c r="D27" s="35">
        <f>D26+(B39/(C25*(1-B40)))</f>
        <v>7142.199128686327</v>
      </c>
      <c r="E27" s="35">
        <f>E25+E26+B38</f>
        <v>47610.9085</v>
      </c>
      <c r="F27" s="35">
        <f>E27+(F25-E25+F26-E26)</f>
        <v>41583.9085</v>
      </c>
      <c r="G27" s="35">
        <f>H27-F27</f>
        <v>82743.37925253363</v>
      </c>
      <c r="H27" s="35">
        <f>K11*E12</f>
        <v>124327.28775253362</v>
      </c>
      <c r="I27" s="5">
        <f>E27/E12</f>
        <v>2.402164909182644</v>
      </c>
      <c r="K27" s="1" t="s">
        <v>81</v>
      </c>
    </row>
    <row r="28" spans="1:3" ht="12.75">
      <c r="A28" s="1" t="s">
        <v>55</v>
      </c>
      <c r="C28" s="12">
        <f>C27/C26-1</f>
        <v>-0.14940232441505952</v>
      </c>
    </row>
    <row r="30" spans="1:5" ht="12.75">
      <c r="A30" s="3" t="s">
        <v>64</v>
      </c>
      <c r="E30" s="3" t="s">
        <v>56</v>
      </c>
    </row>
    <row r="31" spans="1:5" ht="12.75">
      <c r="A31" s="1" t="s">
        <v>21</v>
      </c>
      <c r="B31" s="9">
        <v>0.3</v>
      </c>
      <c r="E31" s="1" t="s">
        <v>50</v>
      </c>
    </row>
    <row r="32" spans="1:3" ht="12.75">
      <c r="A32" s="1" t="s">
        <v>79</v>
      </c>
      <c r="B32" s="2">
        <f>C25*(1+B31)</f>
        <v>9.698</v>
      </c>
      <c r="C32" s="1" t="s">
        <v>13</v>
      </c>
    </row>
    <row r="33" spans="1:2" ht="12.75">
      <c r="A33" s="1" t="s">
        <v>80</v>
      </c>
      <c r="B33" s="35">
        <f>B32*D25</f>
        <v>21655.634000000002</v>
      </c>
    </row>
    <row r="34" spans="1:5" ht="12.75">
      <c r="A34" s="1" t="s">
        <v>44</v>
      </c>
      <c r="B34" s="35">
        <f>B43</f>
        <v>500</v>
      </c>
      <c r="C34" s="1" t="s">
        <v>13</v>
      </c>
      <c r="E34" s="1" t="s">
        <v>51</v>
      </c>
    </row>
    <row r="35" spans="1:2" ht="12.75">
      <c r="A35" s="1" t="s">
        <v>45</v>
      </c>
      <c r="B35" s="37">
        <f>B33+B34</f>
        <v>22155.634000000002</v>
      </c>
    </row>
    <row r="37" spans="1:5" ht="12.75">
      <c r="A37" s="1" t="s">
        <v>22</v>
      </c>
      <c r="B37" s="1">
        <f>3*(E10+E11)-E25-E26</f>
        <v>16513</v>
      </c>
      <c r="E37" s="1" t="s">
        <v>27</v>
      </c>
    </row>
    <row r="38" spans="1:5" ht="12.75">
      <c r="A38" s="1" t="s">
        <v>23</v>
      </c>
      <c r="B38" s="38">
        <f>B33*25%</f>
        <v>5413.9085000000005</v>
      </c>
      <c r="C38" s="10" t="s">
        <v>31</v>
      </c>
      <c r="D38" s="11">
        <v>0.045</v>
      </c>
      <c r="E38" s="1" t="s">
        <v>53</v>
      </c>
    </row>
    <row r="39" spans="1:5" ht="12.75">
      <c r="A39" s="1" t="s">
        <v>24</v>
      </c>
      <c r="B39" s="35">
        <f>B35-B38</f>
        <v>16741.7255</v>
      </c>
      <c r="E39" s="1" t="s">
        <v>25</v>
      </c>
    </row>
    <row r="40" spans="1:5" ht="12.75">
      <c r="A40" s="1" t="s">
        <v>26</v>
      </c>
      <c r="B40" s="9">
        <v>0</v>
      </c>
      <c r="E40" s="1" t="s">
        <v>33</v>
      </c>
    </row>
    <row r="41" spans="2:4" ht="12.75">
      <c r="B41" s="4"/>
      <c r="D41" s="12"/>
    </row>
    <row r="42" spans="1:5" ht="12.75">
      <c r="A42" s="1" t="s">
        <v>52</v>
      </c>
      <c r="B42" s="38">
        <f>B43*50%</f>
        <v>250</v>
      </c>
      <c r="E42" s="1" t="s">
        <v>82</v>
      </c>
    </row>
    <row r="43" spans="2:5" ht="12.75">
      <c r="B43" s="38">
        <v>500</v>
      </c>
      <c r="E43" s="1" t="s">
        <v>83</v>
      </c>
    </row>
    <row r="46" spans="4:7" ht="12.75">
      <c r="D46" s="43" t="s">
        <v>86</v>
      </c>
      <c r="E46" s="43"/>
      <c r="F46" s="43"/>
      <c r="G46" s="43"/>
    </row>
    <row r="47" spans="2:7" ht="12.75">
      <c r="B47" s="44"/>
      <c r="C47" s="46"/>
      <c r="D47" s="45">
        <v>0</v>
      </c>
      <c r="E47" s="45">
        <v>0.25</v>
      </c>
      <c r="F47" s="45">
        <v>0.5</v>
      </c>
      <c r="G47" s="45">
        <v>0.75</v>
      </c>
    </row>
    <row r="48" spans="2:7" ht="12.75">
      <c r="B48" s="42" t="s">
        <v>21</v>
      </c>
      <c r="C48" s="47">
        <v>0.05</v>
      </c>
      <c r="D48" s="41">
        <v>0</v>
      </c>
      <c r="E48" s="41">
        <v>0.09</v>
      </c>
      <c r="F48" s="41">
        <v>0.19</v>
      </c>
      <c r="G48" s="41">
        <v>0.32</v>
      </c>
    </row>
    <row r="49" spans="2:7" ht="12.75">
      <c r="B49" s="42"/>
      <c r="C49" s="47">
        <f>C48+5%</f>
        <v>0.1</v>
      </c>
      <c r="D49" s="41">
        <v>-0.02</v>
      </c>
      <c r="E49" s="41">
        <v>0.07</v>
      </c>
      <c r="F49" s="41">
        <v>0.18</v>
      </c>
      <c r="G49" s="41">
        <v>0.31</v>
      </c>
    </row>
    <row r="50" spans="2:7" ht="12.75">
      <c r="B50" s="42"/>
      <c r="C50" s="47">
        <f>C49+5%</f>
        <v>0.15000000000000002</v>
      </c>
      <c r="D50" s="41">
        <v>-0.03</v>
      </c>
      <c r="E50" s="41">
        <v>0.06</v>
      </c>
      <c r="F50" s="41">
        <v>0.17</v>
      </c>
      <c r="G50" s="41">
        <v>0.3</v>
      </c>
    </row>
    <row r="51" spans="2:7" ht="12.75">
      <c r="B51" s="42"/>
      <c r="C51" s="47">
        <f>C50+5%</f>
        <v>0.2</v>
      </c>
      <c r="D51" s="41">
        <v>-0.04</v>
      </c>
      <c r="E51" s="41">
        <v>0.05</v>
      </c>
      <c r="F51" s="41">
        <v>0.16</v>
      </c>
      <c r="G51" s="41">
        <v>0.3</v>
      </c>
    </row>
    <row r="52" spans="2:7" ht="12.75">
      <c r="B52" s="42"/>
      <c r="C52" s="47">
        <f>C51+5%</f>
        <v>0.25</v>
      </c>
      <c r="D52" s="41">
        <v>-0.06</v>
      </c>
      <c r="E52" s="41">
        <v>0.03</v>
      </c>
      <c r="F52" s="41">
        <v>0.15</v>
      </c>
      <c r="G52" s="41">
        <v>0.29</v>
      </c>
    </row>
    <row r="53" spans="2:7" ht="12.75">
      <c r="B53" s="42"/>
      <c r="C53" s="47">
        <f>C52+5%</f>
        <v>0.3</v>
      </c>
      <c r="D53" s="41">
        <v>-0.07</v>
      </c>
      <c r="E53" s="41">
        <v>0.02</v>
      </c>
      <c r="F53" s="41">
        <v>0.14</v>
      </c>
      <c r="G53" s="41">
        <v>0.28</v>
      </c>
    </row>
    <row r="54" ht="12.75">
      <c r="B54" s="1" t="s">
        <v>85</v>
      </c>
    </row>
    <row r="56" ht="12.75">
      <c r="A56" s="30" t="s">
        <v>87</v>
      </c>
    </row>
    <row r="57" ht="12.75">
      <c r="A57" s="48" t="s">
        <v>88</v>
      </c>
    </row>
    <row r="58" ht="12.75">
      <c r="A58" s="48" t="s">
        <v>89</v>
      </c>
    </row>
    <row r="59" ht="12.75">
      <c r="A59" s="48" t="s">
        <v>90</v>
      </c>
    </row>
    <row r="60" ht="12.75">
      <c r="A60" t="s">
        <v>91</v>
      </c>
    </row>
  </sheetData>
  <mergeCells count="5">
    <mergeCell ref="C2:F2"/>
    <mergeCell ref="C8:F8"/>
    <mergeCell ref="C15:F15"/>
    <mergeCell ref="B48:B53"/>
    <mergeCell ref="D46:G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7"/>
  <sheetViews>
    <sheetView workbookViewId="0" topLeftCell="A3">
      <selection activeCell="B37" sqref="B37"/>
    </sheetView>
  </sheetViews>
  <sheetFormatPr defaultColWidth="9.140625" defaultRowHeight="12.75"/>
  <cols>
    <col min="1" max="1" width="19.00390625" style="0" customWidth="1"/>
  </cols>
  <sheetData>
    <row r="1" ht="12.75">
      <c r="B1">
        <v>2004</v>
      </c>
    </row>
    <row r="2" spans="2:4" ht="12.75">
      <c r="B2" t="s">
        <v>57</v>
      </c>
      <c r="C2" t="s">
        <v>4</v>
      </c>
      <c r="D2" t="s">
        <v>78</v>
      </c>
    </row>
    <row r="3" spans="1:4" ht="12.75">
      <c r="A3" t="s">
        <v>67</v>
      </c>
      <c r="B3">
        <v>57360</v>
      </c>
      <c r="C3">
        <v>19364</v>
      </c>
      <c r="D3" s="32">
        <f>C3/B3</f>
        <v>0.33758716875871686</v>
      </c>
    </row>
    <row r="4" spans="1:4" ht="12.75">
      <c r="A4" t="s">
        <v>63</v>
      </c>
      <c r="B4">
        <f>34532+12068</f>
        <v>46600</v>
      </c>
      <c r="C4">
        <f>14103+4854</f>
        <v>18957</v>
      </c>
      <c r="D4" s="32">
        <f>C4/B4</f>
        <v>0.4068025751072961</v>
      </c>
    </row>
    <row r="5" spans="1:4" ht="12.75">
      <c r="A5" t="s">
        <v>68</v>
      </c>
      <c r="B5">
        <v>46158</v>
      </c>
      <c r="C5">
        <v>18251</v>
      </c>
      <c r="D5" s="32">
        <f>C5/B5</f>
        <v>0.3954027470860956</v>
      </c>
    </row>
    <row r="6" spans="1:4" ht="12.75">
      <c r="A6" t="s">
        <v>58</v>
      </c>
      <c r="B6">
        <v>34532</v>
      </c>
      <c r="C6">
        <v>14103</v>
      </c>
      <c r="D6" s="32">
        <f>C6/B6</f>
        <v>0.4084037993744932</v>
      </c>
    </row>
    <row r="7" spans="1:4" ht="12.75">
      <c r="A7" t="s">
        <v>65</v>
      </c>
      <c r="B7">
        <v>34132</v>
      </c>
      <c r="C7">
        <v>13041</v>
      </c>
      <c r="D7" s="32">
        <f>C7/B7</f>
        <v>0.38207547169811323</v>
      </c>
    </row>
    <row r="8" spans="1:4" ht="12.75">
      <c r="A8" t="s">
        <v>66</v>
      </c>
      <c r="B8">
        <f>22240*1.45</f>
        <v>32248</v>
      </c>
      <c r="C8" s="31">
        <f>6052*1.45</f>
        <v>8775.4</v>
      </c>
      <c r="D8" s="32">
        <f>C8/B8</f>
        <v>0.2721223021582734</v>
      </c>
    </row>
    <row r="9" spans="1:4" ht="12.75">
      <c r="A9" t="s">
        <v>73</v>
      </c>
      <c r="B9">
        <v>31237</v>
      </c>
      <c r="C9">
        <v>14528</v>
      </c>
      <c r="D9" s="32">
        <f>C9/B9</f>
        <v>0.4650894772225246</v>
      </c>
    </row>
    <row r="10" spans="1:4" ht="12.75">
      <c r="A10" t="s">
        <v>10</v>
      </c>
      <c r="B10">
        <v>12068</v>
      </c>
      <c r="C10">
        <v>4854</v>
      </c>
      <c r="D10" s="32">
        <f>C10/B10</f>
        <v>0.40222074908849853</v>
      </c>
    </row>
    <row r="11" spans="1:4" ht="12.75">
      <c r="A11" t="s">
        <v>11</v>
      </c>
      <c r="B11" s="31">
        <f>6575*1.45</f>
        <v>9533.75</v>
      </c>
      <c r="C11">
        <f>1760*1.45</f>
        <v>2552</v>
      </c>
      <c r="D11" s="32">
        <f>C11/B11</f>
        <v>0.267680608365019</v>
      </c>
    </row>
    <row r="12" spans="1:4" ht="12.75">
      <c r="A12" t="s">
        <v>76</v>
      </c>
      <c r="B12" s="31">
        <f>81937/9.3</f>
        <v>8810.430107526881</v>
      </c>
      <c r="C12" s="31">
        <f>30195/9.3</f>
        <v>3246.774193548387</v>
      </c>
      <c r="D12" s="32">
        <f>C12/B12</f>
        <v>0.36851483456802175</v>
      </c>
    </row>
    <row r="13" spans="1:4" ht="12.75">
      <c r="A13" t="s">
        <v>75</v>
      </c>
      <c r="B13" s="31">
        <f>60701/7.87</f>
        <v>7712.960609911054</v>
      </c>
      <c r="C13" s="31">
        <f>21357/7.87</f>
        <v>2713.7229987293517</v>
      </c>
      <c r="D13" s="32">
        <f>C13/B13</f>
        <v>0.35183934366814384</v>
      </c>
    </row>
    <row r="14" spans="1:4" ht="12.75">
      <c r="A14" t="s">
        <v>71</v>
      </c>
      <c r="B14" s="31">
        <f>10057/1.55</f>
        <v>6488.387096774193</v>
      </c>
      <c r="C14" s="31">
        <f>4387/1.55</f>
        <v>2830.322580645161</v>
      </c>
      <c r="D14" s="32">
        <f>C14/B14</f>
        <v>0.436213582579298</v>
      </c>
    </row>
    <row r="15" spans="1:4" ht="12.75">
      <c r="A15" t="s">
        <v>70</v>
      </c>
      <c r="B15">
        <v>6023</v>
      </c>
      <c r="C15">
        <v>2326</v>
      </c>
      <c r="D15" s="32">
        <f>C15/B15</f>
        <v>0.38618628590403453</v>
      </c>
    </row>
    <row r="16" spans="1:4" ht="12.75">
      <c r="A16" t="s">
        <v>72</v>
      </c>
      <c r="B16" s="31">
        <f>43570/7.46</f>
        <v>5840.482573726542</v>
      </c>
      <c r="C16" s="31">
        <f>12432/7.46</f>
        <v>1666.4879356568365</v>
      </c>
      <c r="D16" s="32">
        <f>C16/B16</f>
        <v>0.2853339453752582</v>
      </c>
    </row>
    <row r="17" spans="1:4" ht="12.75">
      <c r="A17" t="s">
        <v>69</v>
      </c>
      <c r="B17">
        <v>5182</v>
      </c>
      <c r="C17">
        <v>1652</v>
      </c>
      <c r="D17" s="32">
        <f>C17/B17</f>
        <v>0.31879583172520265</v>
      </c>
    </row>
    <row r="18" spans="1:4" ht="12.75">
      <c r="A18" t="s">
        <v>77</v>
      </c>
      <c r="B18" s="31">
        <f>43032/9.3</f>
        <v>4627.096774193548</v>
      </c>
      <c r="C18" s="31">
        <f>6629/9.3</f>
        <v>712.7956989247311</v>
      </c>
      <c r="D18" s="32">
        <f>C18/B18</f>
        <v>0.15404815021379437</v>
      </c>
    </row>
    <row r="19" spans="1:4" ht="12.75">
      <c r="A19" t="s">
        <v>74</v>
      </c>
      <c r="B19">
        <v>4056</v>
      </c>
      <c r="C19">
        <v>1573</v>
      </c>
      <c r="D19" s="32">
        <f>C19/B19</f>
        <v>0.38782051282051283</v>
      </c>
    </row>
    <row r="22" ht="12.75">
      <c r="D22" s="32"/>
    </row>
    <row r="23" ht="12.75">
      <c r="D23" s="32"/>
    </row>
    <row r="24" ht="12.75">
      <c r="D24" s="32"/>
    </row>
    <row r="25" ht="12.75">
      <c r="D25" s="32"/>
    </row>
    <row r="26" spans="3:4" ht="12.75">
      <c r="C26" s="31"/>
      <c r="D26" s="32"/>
    </row>
    <row r="27" ht="12.75">
      <c r="D27" s="32"/>
    </row>
    <row r="28" ht="12.75">
      <c r="D28" s="32"/>
    </row>
    <row r="29" spans="2:4" ht="12.75">
      <c r="B29" s="31"/>
      <c r="D29" s="32"/>
    </row>
    <row r="30" spans="2:4" ht="12.75">
      <c r="B30" s="31"/>
      <c r="C30" s="31"/>
      <c r="D30" s="32"/>
    </row>
    <row r="31" spans="2:4" ht="12.75">
      <c r="B31" s="39" t="s">
        <v>17</v>
      </c>
      <c r="C31" s="39" t="s">
        <v>49</v>
      </c>
      <c r="D31" s="32"/>
    </row>
    <row r="32" spans="1:4" ht="12.75">
      <c r="A32" t="s">
        <v>10</v>
      </c>
      <c r="B32" s="33">
        <f>Analysis!G25</f>
        <v>16658.18</v>
      </c>
      <c r="C32" s="32">
        <f>B32/(B32+B33)</f>
        <v>0.19981278399365518</v>
      </c>
      <c r="D32" s="32"/>
    </row>
    <row r="33" spans="1:4" ht="12.75">
      <c r="A33" t="s">
        <v>58</v>
      </c>
      <c r="B33" s="33">
        <f>Analysis!G26</f>
        <v>66710.76</v>
      </c>
      <c r="C33" s="32">
        <f>B33/(B32+B33)</f>
        <v>0.8001872160063447</v>
      </c>
      <c r="D33" s="32"/>
    </row>
    <row r="34" spans="2:4" ht="12.75">
      <c r="B34" s="31"/>
      <c r="C34" s="31"/>
      <c r="D34" s="32"/>
    </row>
    <row r="35" ht="12.75">
      <c r="D35" s="32"/>
    </row>
    <row r="36" spans="2:4" ht="12.75">
      <c r="B36" s="31"/>
      <c r="C36" s="31"/>
      <c r="D36" s="32"/>
    </row>
    <row r="37" ht="12.75">
      <c r="D37" s="32"/>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73"/>
  <sheetViews>
    <sheetView workbookViewId="0" topLeftCell="A48">
      <selection activeCell="D72" sqref="D72"/>
    </sheetView>
  </sheetViews>
  <sheetFormatPr defaultColWidth="9.140625" defaultRowHeight="12.75"/>
  <cols>
    <col min="1" max="1" width="36.57421875" style="16" customWidth="1"/>
    <col min="2" max="2" width="10.8515625" style="16" customWidth="1"/>
    <col min="3" max="3" width="9.8515625" style="16" customWidth="1"/>
    <col min="4" max="4" width="10.7109375" style="16" customWidth="1"/>
    <col min="5" max="5" width="10.00390625" style="16" customWidth="1"/>
    <col min="6" max="6" width="10.140625" style="16" customWidth="1"/>
    <col min="7" max="7" width="9.00390625" style="16" customWidth="1"/>
    <col min="8" max="16384" width="9.140625" style="16" customWidth="1"/>
  </cols>
  <sheetData>
    <row r="1" spans="1:7" s="19" customFormat="1" ht="12.75">
      <c r="A1" s="34" t="s">
        <v>58</v>
      </c>
      <c r="B1" s="34"/>
      <c r="C1" s="34"/>
      <c r="D1" s="34"/>
      <c r="E1" s="34"/>
      <c r="F1" s="34"/>
      <c r="G1" s="34"/>
    </row>
    <row r="2" spans="1:7" s="18" customFormat="1" ht="12.75">
      <c r="A2" s="21" t="s">
        <v>42</v>
      </c>
      <c r="B2" s="22" t="s">
        <v>7</v>
      </c>
      <c r="C2" s="22" t="s">
        <v>0</v>
      </c>
      <c r="D2" s="22" t="s">
        <v>8</v>
      </c>
      <c r="E2" s="22" t="s">
        <v>1</v>
      </c>
      <c r="F2" s="22" t="s">
        <v>2</v>
      </c>
      <c r="G2" s="22"/>
    </row>
    <row r="3" spans="1:7" ht="12.75">
      <c r="A3" s="23" t="s">
        <v>3</v>
      </c>
      <c r="B3" s="24">
        <v>27463</v>
      </c>
      <c r="C3" s="25">
        <v>30321</v>
      </c>
      <c r="D3" s="25">
        <v>34951</v>
      </c>
      <c r="E3" s="25">
        <v>37495</v>
      </c>
      <c r="F3" s="25">
        <v>38006</v>
      </c>
      <c r="G3" s="25"/>
    </row>
    <row r="4" spans="1:7" ht="12.75">
      <c r="A4" s="23"/>
      <c r="B4" s="24"/>
      <c r="C4" s="25"/>
      <c r="D4" s="25"/>
      <c r="E4" s="25"/>
      <c r="F4" s="25"/>
      <c r="G4" s="25"/>
    </row>
    <row r="5" spans="1:7" ht="12.75">
      <c r="A5" s="23" t="s">
        <v>4</v>
      </c>
      <c r="B5" s="24">
        <v>12602</v>
      </c>
      <c r="C5" s="25">
        <v>13215</v>
      </c>
      <c r="D5" s="25">
        <v>14404</v>
      </c>
      <c r="E5" s="25">
        <v>15097</v>
      </c>
      <c r="F5" s="25">
        <v>15413</v>
      </c>
      <c r="G5" s="25"/>
    </row>
    <row r="6" spans="1:7" ht="12.75">
      <c r="A6" s="23"/>
      <c r="B6" s="24"/>
      <c r="C6" s="25"/>
      <c r="D6" s="25"/>
      <c r="E6" s="25"/>
      <c r="F6" s="25"/>
      <c r="G6" s="25"/>
    </row>
    <row r="7" spans="1:7" ht="12.75">
      <c r="A7" s="16" t="s">
        <v>34</v>
      </c>
      <c r="B7" s="25">
        <v>-6274</v>
      </c>
      <c r="C7" s="25">
        <v>-5979</v>
      </c>
      <c r="D7" s="25">
        <v>-6527</v>
      </c>
      <c r="E7" s="25">
        <v>-6726</v>
      </c>
      <c r="F7" s="25">
        <v>-6263</v>
      </c>
      <c r="G7" s="25"/>
    </row>
    <row r="8" spans="1:7" ht="12.75">
      <c r="A8" s="23" t="s">
        <v>35</v>
      </c>
      <c r="B8" s="24"/>
      <c r="C8" s="25"/>
      <c r="D8" s="25"/>
      <c r="E8" s="25"/>
      <c r="F8" s="25"/>
      <c r="G8" s="25"/>
    </row>
    <row r="9" spans="1:7" ht="12.75">
      <c r="A9" s="23"/>
      <c r="B9" s="24"/>
      <c r="C9" s="25"/>
      <c r="D9" s="25"/>
      <c r="E9" s="25"/>
      <c r="F9" s="25"/>
      <c r="G9" s="25"/>
    </row>
    <row r="10" spans="1:7" ht="12.75">
      <c r="A10" s="23" t="s">
        <v>5</v>
      </c>
      <c r="B10" s="24">
        <v>6328</v>
      </c>
      <c r="C10" s="25">
        <v>7235</v>
      </c>
      <c r="D10" s="25">
        <v>7876</v>
      </c>
      <c r="E10" s="25">
        <v>8371</v>
      </c>
      <c r="F10" s="25">
        <v>9149</v>
      </c>
      <c r="G10" s="25"/>
    </row>
    <row r="11" spans="2:7" ht="12.75">
      <c r="B11" s="17"/>
      <c r="C11" s="26"/>
      <c r="D11" s="26"/>
      <c r="E11" s="26"/>
      <c r="F11" s="26"/>
      <c r="G11" s="26"/>
    </row>
    <row r="12" spans="1:7" ht="12.75">
      <c r="A12" s="23" t="s">
        <v>9</v>
      </c>
      <c r="B12" s="24">
        <v>-1061</v>
      </c>
      <c r="C12" s="25">
        <v>-1184</v>
      </c>
      <c r="D12" s="25">
        <v>-1477</v>
      </c>
      <c r="E12" s="25">
        <v>-1389</v>
      </c>
      <c r="F12" s="25">
        <v>-1237</v>
      </c>
      <c r="G12" s="25"/>
    </row>
    <row r="13" spans="1:7" ht="12.75">
      <c r="A13" s="23" t="s">
        <v>36</v>
      </c>
      <c r="B13" s="24">
        <v>-213</v>
      </c>
      <c r="C13" s="25">
        <v>-56</v>
      </c>
      <c r="D13" s="25">
        <v>-50</v>
      </c>
      <c r="E13" s="25">
        <v>-45</v>
      </c>
      <c r="F13" s="25">
        <v>-41</v>
      </c>
      <c r="G13" s="25"/>
    </row>
    <row r="14" spans="1:7" ht="12.75">
      <c r="A14" s="23" t="s">
        <v>37</v>
      </c>
      <c r="B14" s="24">
        <v>-1692</v>
      </c>
      <c r="C14" s="25">
        <v>-1598</v>
      </c>
      <c r="D14" s="25">
        <v>0</v>
      </c>
      <c r="E14" s="25">
        <v>0</v>
      </c>
      <c r="F14" s="25">
        <v>0</v>
      </c>
      <c r="G14" s="25"/>
    </row>
    <row r="15" spans="1:7" ht="12.75">
      <c r="A15" s="23"/>
      <c r="B15" s="24"/>
      <c r="C15" s="25"/>
      <c r="D15" s="25"/>
      <c r="E15" s="25"/>
      <c r="F15" s="25"/>
      <c r="G15" s="25"/>
    </row>
    <row r="16" spans="1:7" ht="12.75">
      <c r="A16" s="23" t="s">
        <v>38</v>
      </c>
      <c r="B16" s="25">
        <f aca="true" t="shared" si="0" ref="B16:G16">B10+B12+B13+B14</f>
        <v>3362</v>
      </c>
      <c r="C16" s="25">
        <f t="shared" si="0"/>
        <v>4397</v>
      </c>
      <c r="D16" s="25">
        <f t="shared" si="0"/>
        <v>6349</v>
      </c>
      <c r="E16" s="25">
        <f t="shared" si="0"/>
        <v>6937</v>
      </c>
      <c r="F16" s="25">
        <f t="shared" si="0"/>
        <v>7871</v>
      </c>
      <c r="G16" s="25"/>
    </row>
    <row r="17" spans="1:7" ht="12.75">
      <c r="A17" s="23" t="s">
        <v>39</v>
      </c>
      <c r="B17" s="24">
        <v>-913</v>
      </c>
      <c r="C17" s="25">
        <v>-1139</v>
      </c>
      <c r="D17" s="25">
        <v>-1977</v>
      </c>
      <c r="E17" s="25">
        <v>-1726</v>
      </c>
      <c r="F17" s="25">
        <v>-1975</v>
      </c>
      <c r="G17" s="25"/>
    </row>
    <row r="18" spans="1:7" ht="12.75">
      <c r="A18" s="23" t="s">
        <v>6</v>
      </c>
      <c r="B18" s="24">
        <v>-246</v>
      </c>
      <c r="C18" s="25">
        <v>-381</v>
      </c>
      <c r="D18" s="25">
        <v>-417</v>
      </c>
      <c r="E18" s="25">
        <v>-169</v>
      </c>
      <c r="F18" s="25">
        <v>-193</v>
      </c>
      <c r="G18" s="25"/>
    </row>
    <row r="19" spans="1:7" ht="12.75">
      <c r="A19" s="23"/>
      <c r="B19" s="24"/>
      <c r="C19" s="25"/>
      <c r="D19" s="25"/>
      <c r="E19" s="25"/>
      <c r="F19" s="25"/>
      <c r="G19" s="25"/>
    </row>
    <row r="20" spans="1:7" ht="12.75">
      <c r="A20" s="23" t="s">
        <v>40</v>
      </c>
      <c r="B20" s="25">
        <f aca="true" t="shared" si="1" ref="B20:G20">B16+B17+B18</f>
        <v>2203</v>
      </c>
      <c r="C20" s="25">
        <f t="shared" si="1"/>
        <v>2877</v>
      </c>
      <c r="D20" s="25">
        <f t="shared" si="1"/>
        <v>3955</v>
      </c>
      <c r="E20" s="25">
        <f t="shared" si="1"/>
        <v>5042</v>
      </c>
      <c r="F20" s="25">
        <f t="shared" si="1"/>
        <v>5703</v>
      </c>
      <c r="G20" s="25"/>
    </row>
    <row r="21" spans="1:7" ht="12.75">
      <c r="A21" s="23"/>
      <c r="B21" s="24"/>
      <c r="C21" s="25"/>
      <c r="D21" s="25"/>
      <c r="E21" s="25"/>
      <c r="F21" s="25"/>
      <c r="G21" s="25"/>
    </row>
    <row r="22" spans="1:7" ht="12.75">
      <c r="A22" s="23" t="s">
        <v>41</v>
      </c>
      <c r="B22" s="25">
        <f aca="true" t="shared" si="2" ref="B22:G22">B20-B8</f>
        <v>2203</v>
      </c>
      <c r="C22" s="25">
        <f t="shared" si="2"/>
        <v>2877</v>
      </c>
      <c r="D22" s="25">
        <f t="shared" si="2"/>
        <v>3955</v>
      </c>
      <c r="E22" s="25">
        <f t="shared" si="2"/>
        <v>5042</v>
      </c>
      <c r="F22" s="25">
        <f t="shared" si="2"/>
        <v>5703</v>
      </c>
      <c r="G22" s="25"/>
    </row>
    <row r="23" ht="12.75">
      <c r="B23" s="17"/>
    </row>
    <row r="24" spans="1:7" s="19" customFormat="1" ht="12.75">
      <c r="A24" s="34" t="s">
        <v>10</v>
      </c>
      <c r="B24" s="34"/>
      <c r="C24" s="34"/>
      <c r="D24" s="34"/>
      <c r="E24" s="34"/>
      <c r="F24" s="34"/>
      <c r="G24" s="34"/>
    </row>
    <row r="25" spans="1:7" s="18" customFormat="1" ht="12.75">
      <c r="A25" s="21" t="s">
        <v>42</v>
      </c>
      <c r="B25" s="22" t="s">
        <v>7</v>
      </c>
      <c r="C25" s="22" t="s">
        <v>0</v>
      </c>
      <c r="D25" s="22" t="s">
        <v>8</v>
      </c>
      <c r="E25" s="22" t="s">
        <v>1</v>
      </c>
      <c r="F25" s="22" t="s">
        <v>2</v>
      </c>
      <c r="G25" s="22"/>
    </row>
    <row r="26" spans="1:7" ht="12.75">
      <c r="A26" s="23" t="s">
        <v>3</v>
      </c>
      <c r="B26" s="24">
        <v>12209</v>
      </c>
      <c r="C26" s="25">
        <v>11819</v>
      </c>
      <c r="D26" s="25">
        <v>11695</v>
      </c>
      <c r="E26" s="25">
        <v>11690</v>
      </c>
      <c r="F26" s="25">
        <v>11572</v>
      </c>
      <c r="G26" s="25"/>
    </row>
    <row r="27" spans="1:7" ht="12.75">
      <c r="A27" s="23"/>
      <c r="B27" s="24"/>
      <c r="C27" s="25"/>
      <c r="D27" s="25"/>
      <c r="E27" s="25"/>
      <c r="F27" s="25"/>
      <c r="G27" s="25"/>
    </row>
    <row r="28" spans="1:7" ht="12.75">
      <c r="A28" s="23" t="s">
        <v>4</v>
      </c>
      <c r="B28" s="24">
        <v>4958</v>
      </c>
      <c r="C28" s="25">
        <v>4835</v>
      </c>
      <c r="D28" s="25">
        <v>4478</v>
      </c>
      <c r="E28" s="25">
        <v>4473</v>
      </c>
      <c r="F28" s="25">
        <v>4374</v>
      </c>
      <c r="G28" s="25"/>
    </row>
    <row r="29" spans="1:7" ht="12.75">
      <c r="A29" s="23"/>
      <c r="B29" s="24"/>
      <c r="C29" s="25"/>
      <c r="D29" s="25"/>
      <c r="E29" s="25"/>
      <c r="F29" s="25"/>
      <c r="G29" s="25"/>
    </row>
    <row r="30" spans="1:7" ht="12.75">
      <c r="A30" s="16" t="s">
        <v>34</v>
      </c>
      <c r="B30" s="25">
        <v>-2183</v>
      </c>
      <c r="C30" s="25">
        <v>-2190</v>
      </c>
      <c r="D30" s="25">
        <v>-2291</v>
      </c>
      <c r="E30" s="25">
        <v>-2151</v>
      </c>
      <c r="F30" s="25">
        <v>-2059</v>
      </c>
      <c r="G30" s="25"/>
    </row>
    <row r="31" spans="1:7" ht="12.75">
      <c r="A31" s="23" t="s">
        <v>35</v>
      </c>
      <c r="B31" s="24">
        <v>-314</v>
      </c>
      <c r="C31" s="25"/>
      <c r="D31" s="25"/>
      <c r="E31" s="25"/>
      <c r="F31" s="25"/>
      <c r="G31" s="25"/>
    </row>
    <row r="32" spans="1:7" ht="12.75">
      <c r="A32" s="23"/>
      <c r="B32" s="24"/>
      <c r="C32" s="25"/>
      <c r="D32" s="25"/>
      <c r="E32" s="25"/>
      <c r="F32" s="25"/>
      <c r="G32" s="25"/>
    </row>
    <row r="33" spans="1:7" ht="12.75">
      <c r="A33" s="23" t="s">
        <v>5</v>
      </c>
      <c r="B33" s="25">
        <f>B28+B30+B31</f>
        <v>2461</v>
      </c>
      <c r="C33" s="25">
        <f>C28+C30+C31</f>
        <v>2645</v>
      </c>
      <c r="D33" s="25">
        <f>D28+D30+D31</f>
        <v>2187</v>
      </c>
      <c r="E33" s="25">
        <f>E28+E30+E31</f>
        <v>2322</v>
      </c>
      <c r="F33" s="25">
        <f>F28+F30+F31</f>
        <v>2315</v>
      </c>
      <c r="G33" s="25"/>
    </row>
    <row r="34" spans="2:7" ht="12.75">
      <c r="B34" s="17"/>
      <c r="C34" s="26"/>
      <c r="D34" s="26"/>
      <c r="E34" s="26"/>
      <c r="F34" s="26"/>
      <c r="G34" s="26"/>
    </row>
    <row r="35" spans="1:7" ht="12.75">
      <c r="A35" s="23" t="s">
        <v>9</v>
      </c>
      <c r="B35" s="24">
        <v>-862</v>
      </c>
      <c r="C35" s="25">
        <v>-588</v>
      </c>
      <c r="D35" s="25">
        <v>-587</v>
      </c>
      <c r="E35" s="25">
        <v>-661</v>
      </c>
      <c r="F35" s="25">
        <v>-592</v>
      </c>
      <c r="G35" s="25"/>
    </row>
    <row r="36" spans="1:7" ht="12.75">
      <c r="A36" s="23" t="s">
        <v>36</v>
      </c>
      <c r="B36" s="24">
        <v>-4</v>
      </c>
      <c r="C36" s="25">
        <v>1</v>
      </c>
      <c r="D36" s="25">
        <v>12</v>
      </c>
      <c r="E36" s="25">
        <v>10</v>
      </c>
      <c r="F36" s="25">
        <v>10</v>
      </c>
      <c r="G36" s="25"/>
    </row>
    <row r="37" spans="1:7" ht="12.75">
      <c r="A37" s="23" t="s">
        <v>37</v>
      </c>
      <c r="B37" s="24">
        <v>812</v>
      </c>
      <c r="C37" s="25">
        <v>0</v>
      </c>
      <c r="D37" s="25">
        <v>-60</v>
      </c>
      <c r="E37" s="25">
        <v>0</v>
      </c>
      <c r="F37" s="25">
        <v>0</v>
      </c>
      <c r="G37" s="25"/>
    </row>
    <row r="38" spans="1:7" ht="12.75">
      <c r="A38" s="23"/>
      <c r="B38" s="24"/>
      <c r="C38" s="25"/>
      <c r="D38" s="25"/>
      <c r="E38" s="25"/>
      <c r="F38" s="25"/>
      <c r="G38" s="25"/>
    </row>
    <row r="39" spans="1:7" ht="12.75">
      <c r="A39" s="23" t="s">
        <v>38</v>
      </c>
      <c r="B39" s="25">
        <f aca="true" t="shared" si="3" ref="B39:G39">B33+B35+B36+B37</f>
        <v>2407</v>
      </c>
      <c r="C39" s="25">
        <f t="shared" si="3"/>
        <v>2058</v>
      </c>
      <c r="D39" s="25">
        <f t="shared" si="3"/>
        <v>1552</v>
      </c>
      <c r="E39" s="25">
        <f t="shared" si="3"/>
        <v>1671</v>
      </c>
      <c r="F39" s="25">
        <f t="shared" si="3"/>
        <v>1733</v>
      </c>
      <c r="G39" s="25"/>
    </row>
    <row r="40" spans="1:7" ht="12.75">
      <c r="A40" s="23" t="s">
        <v>39</v>
      </c>
      <c r="B40" s="24">
        <v>257</v>
      </c>
      <c r="C40" s="25">
        <v>-300</v>
      </c>
      <c r="D40" s="25">
        <v>-493</v>
      </c>
      <c r="E40" s="25">
        <v>-498</v>
      </c>
      <c r="F40" s="25">
        <v>-517</v>
      </c>
      <c r="G40" s="25"/>
    </row>
    <row r="41" spans="1:7" ht="12.75">
      <c r="A41" s="23" t="s">
        <v>6</v>
      </c>
      <c r="B41" s="24">
        <v>20</v>
      </c>
      <c r="C41" s="25">
        <v>-50</v>
      </c>
      <c r="D41" s="25">
        <v>3</v>
      </c>
      <c r="E41" s="25">
        <v>3</v>
      </c>
      <c r="F41" s="25">
        <v>3</v>
      </c>
      <c r="G41" s="25"/>
    </row>
    <row r="42" spans="1:7" ht="12.75">
      <c r="A42" s="23"/>
      <c r="B42" s="24"/>
      <c r="C42" s="25"/>
      <c r="D42" s="25"/>
      <c r="E42" s="25"/>
      <c r="F42" s="25"/>
      <c r="G42" s="25"/>
    </row>
    <row r="43" spans="1:7" ht="12.75">
      <c r="A43" s="23" t="s">
        <v>40</v>
      </c>
      <c r="B43" s="25">
        <f aca="true" t="shared" si="4" ref="B43:G43">B39+B40+B41</f>
        <v>2684</v>
      </c>
      <c r="C43" s="25">
        <f t="shared" si="4"/>
        <v>1708</v>
      </c>
      <c r="D43" s="25">
        <f t="shared" si="4"/>
        <v>1062</v>
      </c>
      <c r="E43" s="25">
        <f t="shared" si="4"/>
        <v>1176</v>
      </c>
      <c r="F43" s="25">
        <f t="shared" si="4"/>
        <v>1219</v>
      </c>
      <c r="G43" s="25"/>
    </row>
    <row r="44" spans="1:7" ht="12.75">
      <c r="A44" s="23"/>
      <c r="B44" s="24"/>
      <c r="C44" s="25"/>
      <c r="D44" s="25"/>
      <c r="E44" s="25"/>
      <c r="F44" s="25"/>
      <c r="G44" s="25"/>
    </row>
    <row r="45" spans="1:7" ht="12.75">
      <c r="A45" s="23" t="s">
        <v>41</v>
      </c>
      <c r="B45" s="25">
        <f aca="true" t="shared" si="5" ref="B45:G45">B43-B31</f>
        <v>2998</v>
      </c>
      <c r="C45" s="25">
        <f t="shared" si="5"/>
        <v>1708</v>
      </c>
      <c r="D45" s="25">
        <f t="shared" si="5"/>
        <v>1062</v>
      </c>
      <c r="E45" s="25">
        <f t="shared" si="5"/>
        <v>1176</v>
      </c>
      <c r="F45" s="25">
        <f t="shared" si="5"/>
        <v>1219</v>
      </c>
      <c r="G45" s="25"/>
    </row>
    <row r="46" ht="12.75">
      <c r="B46" s="17"/>
    </row>
    <row r="47" ht="12.75">
      <c r="B47" s="17"/>
    </row>
    <row r="48" ht="12.75">
      <c r="B48" s="17"/>
    </row>
    <row r="49" spans="1:3" s="19" customFormat="1" ht="12.75">
      <c r="A49" s="19" t="s">
        <v>63</v>
      </c>
      <c r="C49" s="20"/>
    </row>
    <row r="50" spans="1:6" s="19" customFormat="1" ht="12.75">
      <c r="A50" s="21" t="s">
        <v>42</v>
      </c>
      <c r="B50" s="21"/>
      <c r="C50" s="22" t="s">
        <v>0</v>
      </c>
      <c r="D50" s="22" t="s">
        <v>8</v>
      </c>
      <c r="E50" s="22" t="s">
        <v>1</v>
      </c>
      <c r="F50" s="22" t="s">
        <v>2</v>
      </c>
    </row>
    <row r="51" spans="1:6" ht="12.75">
      <c r="A51" s="23" t="s">
        <v>3</v>
      </c>
      <c r="B51" s="23"/>
      <c r="C51" s="25">
        <f>C3+C26</f>
        <v>42140</v>
      </c>
      <c r="D51" s="25">
        <f>D3+D26</f>
        <v>46646</v>
      </c>
      <c r="E51" s="25">
        <f>E3+E26</f>
        <v>49185</v>
      </c>
      <c r="F51" s="25">
        <f>F3+F26</f>
        <v>49578</v>
      </c>
    </row>
    <row r="52" spans="1:6" ht="12.75">
      <c r="A52" s="23"/>
      <c r="B52" s="23"/>
      <c r="C52" s="24"/>
      <c r="D52" s="24"/>
      <c r="E52" s="24"/>
      <c r="F52" s="24"/>
    </row>
    <row r="53" spans="1:6" ht="12.75">
      <c r="A53" s="23" t="s">
        <v>48</v>
      </c>
      <c r="B53" s="23"/>
      <c r="C53" s="25">
        <f>C5+C28</f>
        <v>18050</v>
      </c>
      <c r="D53" s="25">
        <f>D5+D28</f>
        <v>18882</v>
      </c>
      <c r="E53" s="25">
        <f>E5+E28</f>
        <v>19570</v>
      </c>
      <c r="F53" s="25">
        <f>F5+F28</f>
        <v>19787</v>
      </c>
    </row>
    <row r="54" spans="1:6" ht="12.75">
      <c r="A54" s="23" t="s">
        <v>32</v>
      </c>
      <c r="B54" s="23"/>
      <c r="C54" s="25"/>
      <c r="D54" s="25"/>
      <c r="E54" s="25">
        <f>Analysis!B42</f>
        <v>250</v>
      </c>
      <c r="F54" s="25">
        <f>Analysis!B43</f>
        <v>500</v>
      </c>
    </row>
    <row r="55" spans="1:6" ht="12.75">
      <c r="A55" s="23" t="s">
        <v>47</v>
      </c>
      <c r="B55" s="23"/>
      <c r="C55" s="25"/>
      <c r="D55" s="25">
        <f>D53+D54</f>
        <v>18882</v>
      </c>
      <c r="E55" s="25">
        <f>E53+E54</f>
        <v>19820</v>
      </c>
      <c r="F55" s="25">
        <f>F53+F54</f>
        <v>20287</v>
      </c>
    </row>
    <row r="56" spans="3:6" ht="12.75">
      <c r="C56" s="29"/>
      <c r="D56" s="29"/>
      <c r="E56" s="29"/>
      <c r="F56" s="29"/>
    </row>
    <row r="57" spans="1:6" ht="12.75">
      <c r="A57" s="16" t="s">
        <v>34</v>
      </c>
      <c r="C57" s="25"/>
      <c r="D57" s="25"/>
      <c r="E57" s="25">
        <f>E7+E30</f>
        <v>-8877</v>
      </c>
      <c r="F57" s="25">
        <f>F7+F30</f>
        <v>-8322</v>
      </c>
    </row>
    <row r="58" spans="1:6" ht="12.75">
      <c r="A58" s="23" t="s">
        <v>35</v>
      </c>
      <c r="B58" s="23"/>
      <c r="C58" s="25"/>
      <c r="D58" s="25"/>
      <c r="E58" s="25"/>
      <c r="F58" s="25"/>
    </row>
    <row r="59" spans="3:6" ht="12.75">
      <c r="C59" s="29"/>
      <c r="D59" s="29"/>
      <c r="E59" s="29"/>
      <c r="F59" s="29"/>
    </row>
    <row r="60" spans="1:6" ht="12.75">
      <c r="A60" s="23" t="s">
        <v>5</v>
      </c>
      <c r="B60" s="23"/>
      <c r="C60" s="28"/>
      <c r="D60" s="28">
        <f>D55+D57+D58</f>
        <v>18882</v>
      </c>
      <c r="E60" s="28">
        <f>E55+E57+E58</f>
        <v>10943</v>
      </c>
      <c r="F60" s="28">
        <f>F55+F57+F58</f>
        <v>11965</v>
      </c>
    </row>
    <row r="61" spans="1:6" ht="12.75">
      <c r="A61" s="23"/>
      <c r="B61" s="23"/>
      <c r="C61" s="28"/>
      <c r="D61" s="28"/>
      <c r="E61" s="28"/>
      <c r="F61" s="28"/>
    </row>
    <row r="62" spans="1:6" ht="12.75">
      <c r="A62" s="23" t="s">
        <v>9</v>
      </c>
      <c r="B62" s="23"/>
      <c r="C62" s="25"/>
      <c r="D62" s="25">
        <f>D12+D35</f>
        <v>-2064</v>
      </c>
      <c r="E62" s="25">
        <f>E12+E35</f>
        <v>-2050</v>
      </c>
      <c r="F62" s="25">
        <f>F12+F35</f>
        <v>-1829</v>
      </c>
    </row>
    <row r="63" spans="1:6" ht="12.75">
      <c r="A63" s="23" t="s">
        <v>46</v>
      </c>
      <c r="B63" s="23"/>
      <c r="C63" s="25"/>
      <c r="D63" s="25"/>
      <c r="E63" s="25">
        <f>-Analysis!B38*Analysis!D38</f>
        <v>-243.62588250000002</v>
      </c>
      <c r="F63" s="25">
        <f>-(Analysis!B38-50%*F60)*Analysis!D38</f>
        <v>25.586617499999978</v>
      </c>
    </row>
    <row r="64" spans="1:6" ht="12.75">
      <c r="A64" s="23" t="s">
        <v>36</v>
      </c>
      <c r="B64" s="23"/>
      <c r="C64" s="25"/>
      <c r="D64" s="25">
        <f>D13+D36</f>
        <v>-38</v>
      </c>
      <c r="E64" s="25">
        <f>E13+E36</f>
        <v>-35</v>
      </c>
      <c r="F64" s="25">
        <f>F13+F36</f>
        <v>-31</v>
      </c>
    </row>
    <row r="65" spans="1:6" ht="12.75">
      <c r="A65" s="23" t="s">
        <v>37</v>
      </c>
      <c r="B65" s="23"/>
      <c r="C65" s="25"/>
      <c r="D65" s="25">
        <f>D14+D37</f>
        <v>-60</v>
      </c>
      <c r="E65" s="25">
        <f>E14+E37</f>
        <v>0</v>
      </c>
      <c r="F65" s="25">
        <f>F14+F37</f>
        <v>0</v>
      </c>
    </row>
    <row r="66" spans="1:6" ht="12.75">
      <c r="A66" s="23"/>
      <c r="B66" s="23"/>
      <c r="C66" s="28"/>
      <c r="D66" s="28"/>
      <c r="E66" s="28"/>
      <c r="F66" s="28"/>
    </row>
    <row r="67" spans="1:6" ht="12.75">
      <c r="A67" s="23" t="s">
        <v>43</v>
      </c>
      <c r="B67" s="23"/>
      <c r="C67" s="28"/>
      <c r="D67" s="28">
        <f>D60+D62+D64+D65</f>
        <v>16720</v>
      </c>
      <c r="E67" s="28">
        <f>E60+E62+E64+E65</f>
        <v>8858</v>
      </c>
      <c r="F67" s="28">
        <f>F60+F62+F64+F65</f>
        <v>10105</v>
      </c>
    </row>
    <row r="68" spans="1:6" ht="12.75">
      <c r="A68" s="23" t="s">
        <v>39</v>
      </c>
      <c r="B68" s="23"/>
      <c r="C68" s="25"/>
      <c r="D68" s="25">
        <f>D17+D40</f>
        <v>-2470</v>
      </c>
      <c r="E68" s="25">
        <f>-E69*E67</f>
        <v>-1328.7</v>
      </c>
      <c r="F68" s="25">
        <f>-F69*F67</f>
        <v>-1515.75</v>
      </c>
    </row>
    <row r="69" spans="1:6" ht="12.75">
      <c r="A69" s="23" t="s">
        <v>49</v>
      </c>
      <c r="B69" s="23"/>
      <c r="C69" s="25"/>
      <c r="D69" s="27">
        <f>D68/D67</f>
        <v>-0.14772727272727273</v>
      </c>
      <c r="E69" s="40">
        <v>0.15</v>
      </c>
      <c r="F69" s="40">
        <v>0.15</v>
      </c>
    </row>
    <row r="70" spans="1:6" ht="12.75">
      <c r="A70" s="23" t="s">
        <v>6</v>
      </c>
      <c r="B70" s="23"/>
      <c r="C70" s="25"/>
      <c r="D70" s="25">
        <f>D18+D41</f>
        <v>-414</v>
      </c>
      <c r="E70" s="25">
        <f>E18+E41</f>
        <v>-166</v>
      </c>
      <c r="F70" s="25">
        <f>F18+F41</f>
        <v>-190</v>
      </c>
    </row>
    <row r="71" spans="1:6" ht="12.75">
      <c r="A71" s="23"/>
      <c r="B71" s="23"/>
      <c r="C71" s="28"/>
      <c r="D71" s="28"/>
      <c r="E71" s="28"/>
      <c r="F71" s="28"/>
    </row>
    <row r="72" spans="1:6" ht="12.75">
      <c r="A72" s="23" t="s">
        <v>40</v>
      </c>
      <c r="B72" s="23"/>
      <c r="C72" s="28"/>
      <c r="D72" s="28">
        <f>D67+D68+D70</f>
        <v>13836</v>
      </c>
      <c r="E72" s="28">
        <f>E67+E68+E70</f>
        <v>7363.3</v>
      </c>
      <c r="F72" s="28">
        <f>F67+F68+F70</f>
        <v>8399.25</v>
      </c>
    </row>
    <row r="73" spans="1:6" ht="12.75">
      <c r="A73" s="23"/>
      <c r="B73" s="23"/>
      <c r="C73" s="28"/>
      <c r="D73" s="28"/>
      <c r="E73" s="28"/>
      <c r="F73" s="28"/>
    </row>
    <row r="88" ht="10.5" customHeight="1"/>
    <row r="89" ht="42" customHeight="1"/>
  </sheetData>
  <mergeCells count="2">
    <mergeCell ref="A24:G24"/>
    <mergeCell ref="A1:G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Belt Holding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Belt</dc:creator>
  <cp:keywords/>
  <dc:description/>
  <cp:lastModifiedBy>Ron Belt</cp:lastModifiedBy>
  <dcterms:created xsi:type="dcterms:W3CDTF">2005-06-23T07:07:39Z</dcterms:created>
  <dcterms:modified xsi:type="dcterms:W3CDTF">2005-10-03T08:37:39Z</dcterms:modified>
  <cp:category/>
  <cp:version/>
  <cp:contentType/>
  <cp:contentStatus/>
</cp:coreProperties>
</file>